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1895" activeTab="1"/>
  </bookViews>
  <sheets>
    <sheet name="计量设备检定、校准" sheetId="1" r:id="rId1"/>
    <sheet name="计量设备安装、拆除及维护等服务" sheetId="2" r:id="rId2"/>
  </sheets>
  <definedNames>
    <definedName name="_xlnm.Print_Area" localSheetId="1">计量设备安装、拆除及维护等服务!$A$1:$J$43</definedName>
    <definedName name="_xlnm.Print_Area" localSheetId="0">计量设备检定、校准!$A$1:$I$43</definedName>
  </definedNames>
  <calcPr calcId="144525"/>
</workbook>
</file>

<file path=xl/sharedStrings.xml><?xml version="1.0" encoding="utf-8"?>
<sst xmlns="http://schemas.openxmlformats.org/spreadsheetml/2006/main" count="348" uniqueCount="86">
  <si>
    <t>附件一</t>
  </si>
  <si>
    <t>计量设备安装、拆除计价情况</t>
  </si>
  <si>
    <t>文件要求：
（一）应用户要求，对其计量设备检定、校准，以及相应的计量设备安装及拆除产生的费用，包含材料费用、检定费、校准费、安装工程服务费用。
（二）按照“谁委托、谁付费”原则，检定费用由委托方支付，但计量装置经检定确有问题的，由供水企业承担检定费用，并免费为用户更换合格的计量装置。</t>
  </si>
  <si>
    <t>工作流程：
应用户要求、对其计量设备检定、校准的工作流程：由用户申请计量设备检定、校准；我司收到申请后，预约用户到水表位置，与用户进行工作交底；拆除水表，封装水表；由用户把水表送到第三方检测出检测，检测完成后如水表准确，则用户把水表送回自来水公司或原水表位置处；我司派人对检核后的水表进行复装；费用由用户支付。如：水表校准有误，则所有费用全免。</t>
  </si>
  <si>
    <t>表径</t>
  </si>
  <si>
    <t>水表类型</t>
  </si>
  <si>
    <t>拆除、复装水表所需工时（多少人工/小时）</t>
  </si>
  <si>
    <t>拆除、复装机械工时（载货汽车吨位/小时）</t>
  </si>
  <si>
    <t>按工料计价计算（含税）</t>
  </si>
  <si>
    <t>按相关定额标准计价(不含水表价格）</t>
  </si>
  <si>
    <t>工料计价/定额计价</t>
  </si>
  <si>
    <t>工料计算组成</t>
  </si>
  <si>
    <t>合计</t>
  </si>
  <si>
    <t>人工</t>
  </si>
  <si>
    <t>机械费</t>
  </si>
  <si>
    <t>DN15</t>
  </si>
  <si>
    <t>LXS-15F旋翼式液封表</t>
  </si>
  <si>
    <t>2人/2小时</t>
  </si>
  <si>
    <t>1.5T/3小时</t>
  </si>
  <si>
    <t>DN20</t>
  </si>
  <si>
    <t>LXS-20F旋翼式液封表</t>
  </si>
  <si>
    <t>DN25</t>
  </si>
  <si>
    <t>LXS-25F旋翼式液封表</t>
  </si>
  <si>
    <t>2人/2.5小时</t>
  </si>
  <si>
    <t>1.5T/3.5小时</t>
  </si>
  <si>
    <t>DN40</t>
  </si>
  <si>
    <t>LXS-40F旋翼式液封表</t>
  </si>
  <si>
    <t>DN50</t>
  </si>
  <si>
    <t>LXS-50F旋翼式液封表</t>
  </si>
  <si>
    <t>2人/3小时</t>
  </si>
  <si>
    <t>1.5T/4小时</t>
  </si>
  <si>
    <t>DN80</t>
  </si>
  <si>
    <t>WS垂直螺翼式表</t>
  </si>
  <si>
    <t>4人/3.5小时</t>
  </si>
  <si>
    <t>1.5T/4.5小时</t>
  </si>
  <si>
    <t>DN100</t>
  </si>
  <si>
    <t>4人/4小时</t>
  </si>
  <si>
    <t>1.5T/5小时</t>
  </si>
  <si>
    <t>DN150</t>
  </si>
  <si>
    <t>5人/4.5小时</t>
  </si>
  <si>
    <t>1.5T/5.5小时</t>
  </si>
  <si>
    <t>DN200</t>
  </si>
  <si>
    <t>6人/5小时</t>
  </si>
  <si>
    <t>1.5T/6小时</t>
  </si>
  <si>
    <t>DN250</t>
  </si>
  <si>
    <t>LXLC可拆卸螺翼式表</t>
  </si>
  <si>
    <t>6人/5.5小时</t>
  </si>
  <si>
    <t>1.5T/6.5小时</t>
  </si>
  <si>
    <t>DN300</t>
  </si>
  <si>
    <t>6人/6小时</t>
  </si>
  <si>
    <t>1.5T/7小时</t>
  </si>
  <si>
    <t>智能山科脉冲表</t>
  </si>
  <si>
    <t>智能立式脉冲表</t>
  </si>
  <si>
    <t>智能浙江宁波表</t>
  </si>
  <si>
    <t>智能北京京源表</t>
  </si>
  <si>
    <t>智能NB无线表</t>
  </si>
  <si>
    <t>智能山科摄像表</t>
  </si>
  <si>
    <t>2人/3.5小时</t>
  </si>
  <si>
    <t>/</t>
  </si>
  <si>
    <t>2人/4小时</t>
  </si>
  <si>
    <t>远传表</t>
  </si>
  <si>
    <t>4人/4.5小时</t>
  </si>
  <si>
    <t>4人/5小时</t>
  </si>
  <si>
    <t>5人/5.5小时</t>
  </si>
  <si>
    <t>6人/6.5小时</t>
  </si>
  <si>
    <t>1.5T/7.5小时</t>
  </si>
  <si>
    <t>6人/7小时</t>
  </si>
  <si>
    <t>1.5T/8小时</t>
  </si>
  <si>
    <t>备注：1、人工单价按《广州市建设工程造价管理站关于发布2021年9月份广州市建设工程价格信息及有关计价办法的通知》管工单价
         315元/工日（8小时）计算。
     2、机械费按《广东省市政工程综合定额2018》计算，计算结果为:694.65元/台班（8小时）。
     3、定额标准计价按照《工程量清单项目计算规范（2013—广东）》、《广东省市政工程综合定额2018》计算。
     4、不含围蔽费用。
     5、拆除、复装水表所需工时和工程量及机械工时由表务中心提供。
     6、不含水表检定费用。</t>
  </si>
  <si>
    <t>附件二</t>
  </si>
  <si>
    <t>计量设备更换计价情况</t>
  </si>
  <si>
    <t>文件要求：
应用户要求，提供更换或安装水表、改移安装、维护等服务时产生的费用，主要包括材料费用、安装工程服务费用等。</t>
  </si>
  <si>
    <t>工作流程：
由用户申请计量设备安装、拆除申请；我司收到申请后，预约用户到水表位置，与用户进行工作交底；按申请要求，对水表进行更换、复装。</t>
  </si>
  <si>
    <t>拆除、复装机械工时
（载货汽车吨位/小时）</t>
  </si>
  <si>
    <t>按相关定额标准计价(含水表价格）</t>
  </si>
  <si>
    <t>材料</t>
  </si>
  <si>
    <t>2人/1小时</t>
  </si>
  <si>
    <t>1.5T/2小时</t>
  </si>
  <si>
    <t>2人/1.5小时</t>
  </si>
  <si>
    <t>1.5T/2.5小时</t>
  </si>
  <si>
    <t>4人/2.5小时</t>
  </si>
  <si>
    <t>4人/3小时</t>
  </si>
  <si>
    <t>5人/3.5小时</t>
  </si>
  <si>
    <t>6人/4小时</t>
  </si>
  <si>
    <t>6人/4.5小时</t>
  </si>
  <si>
    <t xml:space="preserve">备注：1、人工单价按《广州市建设工程造价管理站关于发布2021年9月份广州市建设工程价格信息及有关计价办法的通知》管
         工单价315元/工日（8小时）计算。
     2、机械费按《广东省市政工程综合定额2018》计算，计算结果为:694.65元/台班（8小时）。
     3、定额标准计价按照《工程量清单项目计算规范（2013—广东）》、《广东省市政工程综合定额2018》计算。
     4、不含围蔽费用。
     5、拆除、复装水表所需工时及机械工时工程量由表务中心提供。
     6、工料计价水表价格按采购合同部提供的材料采购价计算。
   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</si>
</sst>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1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9"/>
  <sheetViews>
    <sheetView view="pageBreakPreview" zoomScale="70" zoomScaleNormal="100" workbookViewId="0">
      <selection activeCell="A2" sqref="A2:I2"/>
    </sheetView>
  </sheetViews>
  <sheetFormatPr defaultColWidth="9" defaultRowHeight="13.5"/>
  <cols>
    <col min="1" max="1" width="13.375" customWidth="1"/>
    <col min="2" max="2" width="28.125" customWidth="1"/>
    <col min="3" max="4" width="23.875" customWidth="1"/>
    <col min="5" max="5" width="19.5" customWidth="1"/>
    <col min="6" max="6" width="21.375" customWidth="1"/>
    <col min="7" max="7" width="19.25" customWidth="1"/>
    <col min="8" max="8" width="19" customWidth="1"/>
    <col min="9" max="9" width="17.625" style="3" customWidth="1"/>
  </cols>
  <sheetData>
    <row r="1" ht="35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22"/>
    </row>
    <row r="2" s="1" customFormat="1" ht="6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14" customHeight="1" spans="1:9">
      <c r="A3" s="6" t="s">
        <v>2</v>
      </c>
      <c r="B3" s="6"/>
      <c r="C3" s="6"/>
      <c r="D3" s="6"/>
      <c r="E3" s="6"/>
      <c r="F3" s="6"/>
      <c r="G3" s="6"/>
      <c r="H3" s="6"/>
      <c r="I3" s="7"/>
    </row>
    <row r="4" s="1" customFormat="1" ht="87" customHeight="1" spans="1:12">
      <c r="A4" s="6" t="s">
        <v>3</v>
      </c>
      <c r="B4" s="6"/>
      <c r="C4" s="6"/>
      <c r="D4" s="6"/>
      <c r="E4" s="6"/>
      <c r="F4" s="6"/>
      <c r="G4" s="6"/>
      <c r="H4" s="6"/>
      <c r="I4" s="7"/>
      <c r="J4" s="23"/>
      <c r="K4" s="23"/>
      <c r="L4" s="15"/>
    </row>
    <row r="5" ht="61" customHeight="1" spans="1:12">
      <c r="A5" s="18" t="s">
        <v>4</v>
      </c>
      <c r="B5" s="18" t="s">
        <v>5</v>
      </c>
      <c r="C5" s="19" t="s">
        <v>6</v>
      </c>
      <c r="D5" s="19" t="s">
        <v>7</v>
      </c>
      <c r="E5" s="19" t="s">
        <v>8</v>
      </c>
      <c r="F5" s="19"/>
      <c r="G5" s="19"/>
      <c r="H5" s="19" t="s">
        <v>9</v>
      </c>
      <c r="I5" s="7" t="s">
        <v>10</v>
      </c>
      <c r="J5" s="16"/>
      <c r="K5" s="16"/>
      <c r="L5" s="16"/>
    </row>
    <row r="6" ht="57" customHeight="1" spans="1:12">
      <c r="A6" s="8"/>
      <c r="B6" s="8"/>
      <c r="C6" s="7"/>
      <c r="D6" s="7"/>
      <c r="E6" s="7" t="s">
        <v>11</v>
      </c>
      <c r="F6" s="7"/>
      <c r="G6" s="8" t="s">
        <v>12</v>
      </c>
      <c r="H6" s="8" t="s">
        <v>12</v>
      </c>
      <c r="I6" s="7"/>
      <c r="J6" s="16"/>
      <c r="K6" s="16"/>
      <c r="L6" s="16"/>
    </row>
    <row r="7" ht="57" customHeight="1" spans="1:12">
      <c r="A7" s="8"/>
      <c r="B7" s="8"/>
      <c r="C7" s="7"/>
      <c r="D7" s="7"/>
      <c r="E7" s="7" t="s">
        <v>13</v>
      </c>
      <c r="F7" s="7" t="s">
        <v>14</v>
      </c>
      <c r="G7" s="8"/>
      <c r="H7" s="8"/>
      <c r="I7" s="7"/>
      <c r="J7" s="16"/>
      <c r="K7" s="16"/>
      <c r="L7" s="16"/>
    </row>
    <row r="8" ht="66" customHeight="1" spans="1:9">
      <c r="A8" s="9" t="s">
        <v>15</v>
      </c>
      <c r="B8" s="10" t="s">
        <v>16</v>
      </c>
      <c r="C8" s="8" t="s">
        <v>17</v>
      </c>
      <c r="D8" s="8" t="s">
        <v>18</v>
      </c>
      <c r="E8" s="8">
        <f>315/8*4</f>
        <v>157.5</v>
      </c>
      <c r="F8" s="8">
        <f>86.84*3</f>
        <v>260.52</v>
      </c>
      <c r="G8" s="11">
        <f>E8+F8</f>
        <v>418.02</v>
      </c>
      <c r="H8" s="8">
        <v>154.27</v>
      </c>
      <c r="I8" s="11">
        <f>G8/H8</f>
        <v>2.70966487327413</v>
      </c>
    </row>
    <row r="9" ht="66" customHeight="1" spans="1:9">
      <c r="A9" s="9" t="s">
        <v>19</v>
      </c>
      <c r="B9" s="10" t="s">
        <v>20</v>
      </c>
      <c r="C9" s="8" t="s">
        <v>17</v>
      </c>
      <c r="D9" s="8" t="s">
        <v>18</v>
      </c>
      <c r="E9" s="8">
        <f>315/8*4</f>
        <v>157.5</v>
      </c>
      <c r="F9" s="8">
        <f>86.84*3</f>
        <v>260.52</v>
      </c>
      <c r="G9" s="11">
        <f t="shared" ref="G9:G25" si="0">E9+F9</f>
        <v>418.02</v>
      </c>
      <c r="H9" s="8">
        <v>154.27</v>
      </c>
      <c r="I9" s="11">
        <f t="shared" ref="I9:I42" si="1">G9/H9</f>
        <v>2.70966487327413</v>
      </c>
    </row>
    <row r="10" ht="66" customHeight="1" spans="1:9">
      <c r="A10" s="9" t="s">
        <v>21</v>
      </c>
      <c r="B10" s="10" t="s">
        <v>22</v>
      </c>
      <c r="C10" s="8" t="s">
        <v>23</v>
      </c>
      <c r="D10" s="8" t="s">
        <v>24</v>
      </c>
      <c r="E10" s="11">
        <f>315/8*5</f>
        <v>196.875</v>
      </c>
      <c r="F10" s="8">
        <f>86.84*3.5</f>
        <v>303.94</v>
      </c>
      <c r="G10" s="11">
        <f t="shared" si="0"/>
        <v>500.815</v>
      </c>
      <c r="H10" s="8">
        <v>201.58</v>
      </c>
      <c r="I10" s="11">
        <f t="shared" si="1"/>
        <v>2.48444786189106</v>
      </c>
    </row>
    <row r="11" ht="66" customHeight="1" spans="1:9">
      <c r="A11" s="9" t="s">
        <v>25</v>
      </c>
      <c r="B11" s="10" t="s">
        <v>26</v>
      </c>
      <c r="C11" s="8" t="s">
        <v>23</v>
      </c>
      <c r="D11" s="8" t="s">
        <v>24</v>
      </c>
      <c r="E11" s="11">
        <f>315/8*5</f>
        <v>196.875</v>
      </c>
      <c r="F11" s="8">
        <f>86.84*3.5</f>
        <v>303.94</v>
      </c>
      <c r="G11" s="11">
        <f t="shared" si="0"/>
        <v>500.815</v>
      </c>
      <c r="H11" s="8">
        <v>299.42</v>
      </c>
      <c r="I11" s="11">
        <f t="shared" si="1"/>
        <v>1.67261705964865</v>
      </c>
    </row>
    <row r="12" ht="66" customHeight="1" spans="1:9">
      <c r="A12" s="9" t="s">
        <v>27</v>
      </c>
      <c r="B12" s="10" t="s">
        <v>28</v>
      </c>
      <c r="C12" s="8" t="s">
        <v>29</v>
      </c>
      <c r="D12" s="8" t="s">
        <v>30</v>
      </c>
      <c r="E12" s="8">
        <f>315/8*6</f>
        <v>236.25</v>
      </c>
      <c r="F12" s="8">
        <f>86.84*4</f>
        <v>347.36</v>
      </c>
      <c r="G12" s="11">
        <f t="shared" si="0"/>
        <v>583.61</v>
      </c>
      <c r="H12" s="8">
        <v>299.42</v>
      </c>
      <c r="I12" s="11">
        <f t="shared" si="1"/>
        <v>1.94913499432236</v>
      </c>
    </row>
    <row r="13" ht="66" customHeight="1" spans="1:9">
      <c r="A13" s="9" t="s">
        <v>31</v>
      </c>
      <c r="B13" s="10" t="s">
        <v>32</v>
      </c>
      <c r="C13" s="8" t="s">
        <v>33</v>
      </c>
      <c r="D13" s="8" t="s">
        <v>34</v>
      </c>
      <c r="E13" s="8">
        <f>315/8*14</f>
        <v>551.25</v>
      </c>
      <c r="F13" s="8">
        <f>86.84*4.5</f>
        <v>390.78</v>
      </c>
      <c r="G13" s="11">
        <f t="shared" si="0"/>
        <v>942.03</v>
      </c>
      <c r="H13" s="11">
        <v>405.8</v>
      </c>
      <c r="I13" s="11">
        <f t="shared" si="1"/>
        <v>2.3214144898965</v>
      </c>
    </row>
    <row r="14" ht="66" customHeight="1" spans="1:9">
      <c r="A14" s="9" t="s">
        <v>35</v>
      </c>
      <c r="B14" s="10" t="s">
        <v>32</v>
      </c>
      <c r="C14" s="8" t="s">
        <v>36</v>
      </c>
      <c r="D14" s="8" t="s">
        <v>37</v>
      </c>
      <c r="E14" s="8">
        <f>315/8*16</f>
        <v>630</v>
      </c>
      <c r="F14" s="8">
        <f>86.84*5</f>
        <v>434.2</v>
      </c>
      <c r="G14" s="11">
        <f t="shared" si="0"/>
        <v>1064.2</v>
      </c>
      <c r="H14" s="8">
        <v>529.79</v>
      </c>
      <c r="I14" s="11">
        <f t="shared" si="1"/>
        <v>2.00872043639933</v>
      </c>
    </row>
    <row r="15" ht="66" customHeight="1" spans="1:9">
      <c r="A15" s="9" t="s">
        <v>38</v>
      </c>
      <c r="B15" s="10" t="s">
        <v>32</v>
      </c>
      <c r="C15" s="8" t="s">
        <v>39</v>
      </c>
      <c r="D15" s="8" t="s">
        <v>40</v>
      </c>
      <c r="E15" s="11">
        <f>315/8*22.5</f>
        <v>885.9375</v>
      </c>
      <c r="F15" s="8">
        <f>86.84*5.5</f>
        <v>477.62</v>
      </c>
      <c r="G15" s="11">
        <f t="shared" si="0"/>
        <v>1363.5575</v>
      </c>
      <c r="H15" s="8">
        <v>745.63</v>
      </c>
      <c r="I15" s="11">
        <f t="shared" si="1"/>
        <v>1.82873207891313</v>
      </c>
    </row>
    <row r="16" ht="66" customHeight="1" spans="1:9">
      <c r="A16" s="9" t="s">
        <v>41</v>
      </c>
      <c r="B16" s="10" t="s">
        <v>32</v>
      </c>
      <c r="C16" s="8" t="s">
        <v>42</v>
      </c>
      <c r="D16" s="8" t="s">
        <v>43</v>
      </c>
      <c r="E16" s="8">
        <f>315/8*30</f>
        <v>1181.25</v>
      </c>
      <c r="F16" s="8">
        <f>86.84*6</f>
        <v>521.04</v>
      </c>
      <c r="G16" s="11">
        <f t="shared" si="0"/>
        <v>1702.29</v>
      </c>
      <c r="H16" s="8">
        <v>995.53</v>
      </c>
      <c r="I16" s="11">
        <f t="shared" si="1"/>
        <v>1.70993340230832</v>
      </c>
    </row>
    <row r="17" ht="66" customHeight="1" spans="1:9">
      <c r="A17" s="9" t="s">
        <v>44</v>
      </c>
      <c r="B17" s="10" t="s">
        <v>45</v>
      </c>
      <c r="C17" s="8" t="s">
        <v>46</v>
      </c>
      <c r="D17" s="8" t="s">
        <v>47</v>
      </c>
      <c r="E17" s="11">
        <f>315/8*33</f>
        <v>1299.375</v>
      </c>
      <c r="F17" s="8">
        <f>86.84*6.5</f>
        <v>564.46</v>
      </c>
      <c r="G17" s="11">
        <f t="shared" si="0"/>
        <v>1863.835</v>
      </c>
      <c r="H17" s="8">
        <v>1209.83</v>
      </c>
      <c r="I17" s="11">
        <f t="shared" si="1"/>
        <v>1.54057594868701</v>
      </c>
    </row>
    <row r="18" ht="66" customHeight="1" spans="1:9">
      <c r="A18" s="9" t="s">
        <v>48</v>
      </c>
      <c r="B18" s="10" t="s">
        <v>45</v>
      </c>
      <c r="C18" s="8" t="s">
        <v>49</v>
      </c>
      <c r="D18" s="8" t="s">
        <v>50</v>
      </c>
      <c r="E18" s="8">
        <f>315/8*36</f>
        <v>1417.5</v>
      </c>
      <c r="F18" s="8">
        <f>86.84*7</f>
        <v>607.88</v>
      </c>
      <c r="G18" s="11">
        <f t="shared" si="0"/>
        <v>2025.38</v>
      </c>
      <c r="H18" s="8">
        <v>1579.81</v>
      </c>
      <c r="I18" s="11">
        <f t="shared" si="1"/>
        <v>1.28204024534596</v>
      </c>
    </row>
    <row r="19" ht="66" customHeight="1" spans="1:9">
      <c r="A19" s="9" t="s">
        <v>19</v>
      </c>
      <c r="B19" s="10" t="s">
        <v>51</v>
      </c>
      <c r="C19" s="8" t="s">
        <v>29</v>
      </c>
      <c r="D19" s="8" t="s">
        <v>30</v>
      </c>
      <c r="E19" s="8">
        <f t="shared" ref="E19:E24" si="2">315/8*6</f>
        <v>236.25</v>
      </c>
      <c r="F19" s="8">
        <f t="shared" ref="F19:F24" si="3">86.84*4</f>
        <v>347.36</v>
      </c>
      <c r="G19" s="11">
        <f t="shared" si="0"/>
        <v>583.61</v>
      </c>
      <c r="H19" s="8">
        <v>154.27</v>
      </c>
      <c r="I19" s="11">
        <f t="shared" si="1"/>
        <v>3.7830427173138</v>
      </c>
    </row>
    <row r="20" ht="66" customHeight="1" spans="1:9">
      <c r="A20" s="9" t="s">
        <v>19</v>
      </c>
      <c r="B20" s="10" t="s">
        <v>52</v>
      </c>
      <c r="C20" s="8" t="s">
        <v>29</v>
      </c>
      <c r="D20" s="8" t="s">
        <v>30</v>
      </c>
      <c r="E20" s="8">
        <f t="shared" si="2"/>
        <v>236.25</v>
      </c>
      <c r="F20" s="8">
        <f t="shared" si="3"/>
        <v>347.36</v>
      </c>
      <c r="G20" s="11">
        <f t="shared" si="0"/>
        <v>583.61</v>
      </c>
      <c r="H20" s="8">
        <v>154.27</v>
      </c>
      <c r="I20" s="11">
        <f t="shared" si="1"/>
        <v>3.7830427173138</v>
      </c>
    </row>
    <row r="21" ht="66" customHeight="1" spans="1:9">
      <c r="A21" s="9" t="s">
        <v>19</v>
      </c>
      <c r="B21" s="10" t="s">
        <v>53</v>
      </c>
      <c r="C21" s="8" t="s">
        <v>29</v>
      </c>
      <c r="D21" s="8" t="s">
        <v>30</v>
      </c>
      <c r="E21" s="8">
        <f t="shared" si="2"/>
        <v>236.25</v>
      </c>
      <c r="F21" s="8">
        <f t="shared" si="3"/>
        <v>347.36</v>
      </c>
      <c r="G21" s="11">
        <f t="shared" si="0"/>
        <v>583.61</v>
      </c>
      <c r="H21" s="8">
        <v>154.27</v>
      </c>
      <c r="I21" s="11">
        <f t="shared" si="1"/>
        <v>3.7830427173138</v>
      </c>
    </row>
    <row r="22" ht="66" customHeight="1" spans="1:9">
      <c r="A22" s="9" t="s">
        <v>19</v>
      </c>
      <c r="B22" s="10" t="s">
        <v>54</v>
      </c>
      <c r="C22" s="8" t="s">
        <v>29</v>
      </c>
      <c r="D22" s="8" t="s">
        <v>30</v>
      </c>
      <c r="E22" s="8">
        <f t="shared" si="2"/>
        <v>236.25</v>
      </c>
      <c r="F22" s="8">
        <f t="shared" si="3"/>
        <v>347.36</v>
      </c>
      <c r="G22" s="11">
        <f t="shared" si="0"/>
        <v>583.61</v>
      </c>
      <c r="H22" s="8">
        <v>154.27</v>
      </c>
      <c r="I22" s="11">
        <f t="shared" si="1"/>
        <v>3.7830427173138</v>
      </c>
    </row>
    <row r="23" ht="66" customHeight="1" spans="1:9">
      <c r="A23" s="9" t="s">
        <v>19</v>
      </c>
      <c r="B23" s="10" t="s">
        <v>55</v>
      </c>
      <c r="C23" s="8" t="s">
        <v>29</v>
      </c>
      <c r="D23" s="8" t="s">
        <v>30</v>
      </c>
      <c r="E23" s="8">
        <f t="shared" si="2"/>
        <v>236.25</v>
      </c>
      <c r="F23" s="8">
        <f t="shared" si="3"/>
        <v>347.36</v>
      </c>
      <c r="G23" s="11">
        <f t="shared" si="0"/>
        <v>583.61</v>
      </c>
      <c r="H23" s="8">
        <v>154.27</v>
      </c>
      <c r="I23" s="11">
        <f t="shared" si="1"/>
        <v>3.7830427173138</v>
      </c>
    </row>
    <row r="24" ht="66" customHeight="1" spans="1:9">
      <c r="A24" s="9" t="s">
        <v>19</v>
      </c>
      <c r="B24" s="10" t="s">
        <v>56</v>
      </c>
      <c r="C24" s="8" t="s">
        <v>29</v>
      </c>
      <c r="D24" s="8" t="s">
        <v>30</v>
      </c>
      <c r="E24" s="8">
        <f t="shared" si="2"/>
        <v>236.25</v>
      </c>
      <c r="F24" s="8">
        <f t="shared" si="3"/>
        <v>347.36</v>
      </c>
      <c r="G24" s="11">
        <f t="shared" si="0"/>
        <v>583.61</v>
      </c>
      <c r="H24" s="8">
        <v>154.27</v>
      </c>
      <c r="I24" s="11">
        <f t="shared" si="1"/>
        <v>3.7830427173138</v>
      </c>
    </row>
    <row r="25" ht="66" customHeight="1" spans="1:9">
      <c r="A25" s="9" t="s">
        <v>21</v>
      </c>
      <c r="B25" s="10" t="s">
        <v>51</v>
      </c>
      <c r="C25" s="8" t="s">
        <v>57</v>
      </c>
      <c r="D25" s="8" t="s">
        <v>34</v>
      </c>
      <c r="E25" s="8">
        <f t="shared" ref="E25:E29" si="4">315/8*7</f>
        <v>275.625</v>
      </c>
      <c r="F25" s="8">
        <f>86.84*4.5</f>
        <v>390.78</v>
      </c>
      <c r="G25" s="11">
        <f t="shared" si="0"/>
        <v>666.405</v>
      </c>
      <c r="H25" s="8">
        <v>201.58</v>
      </c>
      <c r="I25" s="11">
        <f t="shared" si="1"/>
        <v>3.30590832423852</v>
      </c>
    </row>
    <row r="26" ht="66" customHeight="1" spans="1:9">
      <c r="A26" s="9" t="s">
        <v>21</v>
      </c>
      <c r="B26" s="10" t="s">
        <v>53</v>
      </c>
      <c r="C26" s="8" t="s">
        <v>57</v>
      </c>
      <c r="D26" s="8" t="s">
        <v>34</v>
      </c>
      <c r="E26" s="8" t="s">
        <v>58</v>
      </c>
      <c r="F26" s="8" t="s">
        <v>58</v>
      </c>
      <c r="G26" s="11" t="s">
        <v>58</v>
      </c>
      <c r="H26" s="8" t="s">
        <v>58</v>
      </c>
      <c r="I26" s="11" t="s">
        <v>58</v>
      </c>
    </row>
    <row r="27" ht="66" customHeight="1" spans="1:9">
      <c r="A27" s="9" t="s">
        <v>21</v>
      </c>
      <c r="B27" s="10" t="s">
        <v>54</v>
      </c>
      <c r="C27" s="8" t="s">
        <v>57</v>
      </c>
      <c r="D27" s="8" t="s">
        <v>34</v>
      </c>
      <c r="E27" s="8">
        <f t="shared" si="4"/>
        <v>275.625</v>
      </c>
      <c r="F27" s="8">
        <f>86.84*4.5</f>
        <v>390.78</v>
      </c>
      <c r="G27" s="11">
        <f>E27+F27</f>
        <v>666.405</v>
      </c>
      <c r="H27" s="8">
        <v>201.58</v>
      </c>
      <c r="I27" s="11">
        <f t="shared" si="1"/>
        <v>3.30590832423852</v>
      </c>
    </row>
    <row r="28" ht="66" customHeight="1" spans="1:9">
      <c r="A28" s="9" t="s">
        <v>21</v>
      </c>
      <c r="B28" s="10" t="s">
        <v>55</v>
      </c>
      <c r="C28" s="8" t="s">
        <v>57</v>
      </c>
      <c r="D28" s="8" t="s">
        <v>34</v>
      </c>
      <c r="E28" s="8">
        <f t="shared" si="4"/>
        <v>275.625</v>
      </c>
      <c r="F28" s="8">
        <f>86.84*4.5</f>
        <v>390.78</v>
      </c>
      <c r="G28" s="11">
        <f>E28+F28</f>
        <v>666.405</v>
      </c>
      <c r="H28" s="8">
        <v>201.58</v>
      </c>
      <c r="I28" s="11">
        <f t="shared" si="1"/>
        <v>3.30590832423852</v>
      </c>
    </row>
    <row r="29" ht="66" customHeight="1" spans="1:9">
      <c r="A29" s="9" t="s">
        <v>25</v>
      </c>
      <c r="B29" s="10" t="s">
        <v>51</v>
      </c>
      <c r="C29" s="8" t="s">
        <v>57</v>
      </c>
      <c r="D29" s="8" t="s">
        <v>34</v>
      </c>
      <c r="E29" s="8">
        <f t="shared" si="4"/>
        <v>275.625</v>
      </c>
      <c r="F29" s="8">
        <f>86.84*4.5</f>
        <v>390.78</v>
      </c>
      <c r="G29" s="11">
        <f>E29+F29</f>
        <v>666.405</v>
      </c>
      <c r="H29" s="8">
        <v>299.42</v>
      </c>
      <c r="I29" s="11">
        <f t="shared" si="1"/>
        <v>2.22565292899606</v>
      </c>
    </row>
    <row r="30" ht="66" customHeight="1" spans="1:9">
      <c r="A30" s="9" t="s">
        <v>25</v>
      </c>
      <c r="B30" s="10" t="s">
        <v>53</v>
      </c>
      <c r="C30" s="8" t="s">
        <v>57</v>
      </c>
      <c r="D30" s="8" t="s">
        <v>34</v>
      </c>
      <c r="E30" s="8" t="s">
        <v>58</v>
      </c>
      <c r="F30" s="8" t="s">
        <v>58</v>
      </c>
      <c r="G30" s="11" t="s">
        <v>58</v>
      </c>
      <c r="H30" s="8" t="s">
        <v>58</v>
      </c>
      <c r="I30" s="11" t="s">
        <v>58</v>
      </c>
    </row>
    <row r="31" ht="66" customHeight="1" spans="1:9">
      <c r="A31" s="9" t="s">
        <v>25</v>
      </c>
      <c r="B31" s="10" t="s">
        <v>54</v>
      </c>
      <c r="C31" s="8" t="s">
        <v>57</v>
      </c>
      <c r="D31" s="8" t="s">
        <v>34</v>
      </c>
      <c r="E31" s="8">
        <f>315/8*7</f>
        <v>275.625</v>
      </c>
      <c r="F31" s="8">
        <f>86.84*4.5</f>
        <v>390.78</v>
      </c>
      <c r="G31" s="11">
        <f>E31+F31</f>
        <v>666.405</v>
      </c>
      <c r="H31" s="8">
        <v>299.42</v>
      </c>
      <c r="I31" s="11">
        <f t="shared" si="1"/>
        <v>2.22565292899606</v>
      </c>
    </row>
    <row r="32" ht="66" customHeight="1" spans="1:9">
      <c r="A32" s="9" t="s">
        <v>25</v>
      </c>
      <c r="B32" s="10" t="s">
        <v>55</v>
      </c>
      <c r="C32" s="8" t="s">
        <v>57</v>
      </c>
      <c r="D32" s="8" t="s">
        <v>34</v>
      </c>
      <c r="E32" s="8">
        <f>315/8*7</f>
        <v>275.625</v>
      </c>
      <c r="F32" s="8">
        <f>86.84*4.5</f>
        <v>390.78</v>
      </c>
      <c r="G32" s="11">
        <f>E32+F32</f>
        <v>666.405</v>
      </c>
      <c r="H32" s="8">
        <v>299.42</v>
      </c>
      <c r="I32" s="11">
        <f t="shared" si="1"/>
        <v>2.22565292899606</v>
      </c>
    </row>
    <row r="33" ht="66" customHeight="1" spans="1:9">
      <c r="A33" s="9" t="s">
        <v>27</v>
      </c>
      <c r="B33" s="10" t="s">
        <v>51</v>
      </c>
      <c r="C33" s="8" t="s">
        <v>59</v>
      </c>
      <c r="D33" s="8" t="s">
        <v>37</v>
      </c>
      <c r="E33" s="8">
        <f t="shared" ref="E33:E36" si="5">315/8*8</f>
        <v>315</v>
      </c>
      <c r="F33" s="8">
        <f>86.84*5</f>
        <v>434.2</v>
      </c>
      <c r="G33" s="11">
        <f>E33+F33</f>
        <v>749.2</v>
      </c>
      <c r="H33" s="8">
        <v>299.42</v>
      </c>
      <c r="I33" s="11">
        <f t="shared" si="1"/>
        <v>2.50217086366976</v>
      </c>
    </row>
    <row r="34" ht="66" customHeight="1" spans="1:9">
      <c r="A34" s="9" t="s">
        <v>27</v>
      </c>
      <c r="B34" s="10" t="s">
        <v>53</v>
      </c>
      <c r="C34" s="8" t="s">
        <v>59</v>
      </c>
      <c r="D34" s="8" t="s">
        <v>37</v>
      </c>
      <c r="E34" s="8" t="s">
        <v>58</v>
      </c>
      <c r="F34" s="8" t="s">
        <v>58</v>
      </c>
      <c r="G34" s="11" t="s">
        <v>58</v>
      </c>
      <c r="H34" s="8" t="s">
        <v>58</v>
      </c>
      <c r="I34" s="11" t="s">
        <v>58</v>
      </c>
    </row>
    <row r="35" ht="66" customHeight="1" spans="1:9">
      <c r="A35" s="9" t="s">
        <v>27</v>
      </c>
      <c r="B35" s="10" t="s">
        <v>54</v>
      </c>
      <c r="C35" s="8" t="s">
        <v>59</v>
      </c>
      <c r="D35" s="8" t="s">
        <v>37</v>
      </c>
      <c r="E35" s="8">
        <f t="shared" si="5"/>
        <v>315</v>
      </c>
      <c r="F35" s="8">
        <f>86.84*5</f>
        <v>434.2</v>
      </c>
      <c r="G35" s="11">
        <f>+E35+F35</f>
        <v>749.2</v>
      </c>
      <c r="H35" s="8">
        <v>299.42</v>
      </c>
      <c r="I35" s="11">
        <f t="shared" si="1"/>
        <v>2.50217086366976</v>
      </c>
    </row>
    <row r="36" ht="66" customHeight="1" spans="1:9">
      <c r="A36" s="9" t="s">
        <v>27</v>
      </c>
      <c r="B36" s="10" t="s">
        <v>55</v>
      </c>
      <c r="C36" s="8" t="s">
        <v>59</v>
      </c>
      <c r="D36" s="8" t="s">
        <v>37</v>
      </c>
      <c r="E36" s="8">
        <f t="shared" si="5"/>
        <v>315</v>
      </c>
      <c r="F36" s="8">
        <f>86.84*5</f>
        <v>434.2</v>
      </c>
      <c r="G36" s="11">
        <f t="shared" ref="G36:G42" si="6">+E36+F36</f>
        <v>749.2</v>
      </c>
      <c r="H36" s="8">
        <v>299.42</v>
      </c>
      <c r="I36" s="11">
        <f t="shared" si="1"/>
        <v>2.50217086366976</v>
      </c>
    </row>
    <row r="37" ht="66" customHeight="1" spans="1:9">
      <c r="A37" s="9" t="s">
        <v>31</v>
      </c>
      <c r="B37" s="10" t="s">
        <v>60</v>
      </c>
      <c r="C37" s="8" t="s">
        <v>61</v>
      </c>
      <c r="D37" s="8" t="s">
        <v>40</v>
      </c>
      <c r="E37" s="8">
        <f>315/8*18</f>
        <v>708.75</v>
      </c>
      <c r="F37" s="8">
        <f>86.84*5.5</f>
        <v>477.62</v>
      </c>
      <c r="G37" s="11">
        <f t="shared" si="6"/>
        <v>1186.37</v>
      </c>
      <c r="H37" s="8">
        <v>405.8</v>
      </c>
      <c r="I37" s="11">
        <f t="shared" si="1"/>
        <v>2.92353376047314</v>
      </c>
    </row>
    <row r="38" ht="66" customHeight="1" spans="1:9">
      <c r="A38" s="9" t="s">
        <v>35</v>
      </c>
      <c r="B38" s="10" t="s">
        <v>60</v>
      </c>
      <c r="C38" s="8" t="s">
        <v>62</v>
      </c>
      <c r="D38" s="8" t="s">
        <v>43</v>
      </c>
      <c r="E38" s="8">
        <f>315/8*20</f>
        <v>787.5</v>
      </c>
      <c r="F38" s="8">
        <f>86.84*6</f>
        <v>521.04</v>
      </c>
      <c r="G38" s="11">
        <f t="shared" si="6"/>
        <v>1308.54</v>
      </c>
      <c r="H38" s="8">
        <v>529.79</v>
      </c>
      <c r="I38" s="11">
        <f t="shared" si="1"/>
        <v>2.4699220445837</v>
      </c>
    </row>
    <row r="39" ht="66" customHeight="1" spans="1:9">
      <c r="A39" s="9" t="s">
        <v>38</v>
      </c>
      <c r="B39" s="10" t="s">
        <v>60</v>
      </c>
      <c r="C39" s="8" t="s">
        <v>63</v>
      </c>
      <c r="D39" s="8" t="s">
        <v>47</v>
      </c>
      <c r="E39" s="11">
        <f>315/8*27.5</f>
        <v>1082.8125</v>
      </c>
      <c r="F39" s="8">
        <f>86.84*6.5</f>
        <v>564.46</v>
      </c>
      <c r="G39" s="11">
        <f t="shared" si="6"/>
        <v>1647.2725</v>
      </c>
      <c r="H39" s="8">
        <v>745.63</v>
      </c>
      <c r="I39" s="11">
        <f t="shared" si="1"/>
        <v>2.20923581400963</v>
      </c>
    </row>
    <row r="40" ht="66" customHeight="1" spans="1:9">
      <c r="A40" s="9" t="s">
        <v>41</v>
      </c>
      <c r="B40" s="10" t="s">
        <v>60</v>
      </c>
      <c r="C40" s="8" t="s">
        <v>46</v>
      </c>
      <c r="D40" s="8" t="s">
        <v>43</v>
      </c>
      <c r="E40" s="11">
        <f>315/8*33</f>
        <v>1299.375</v>
      </c>
      <c r="F40" s="8">
        <f>86.84*6</f>
        <v>521.04</v>
      </c>
      <c r="G40" s="11">
        <f t="shared" si="6"/>
        <v>1820.415</v>
      </c>
      <c r="H40" s="11">
        <v>995.53</v>
      </c>
      <c r="I40" s="11">
        <f t="shared" si="1"/>
        <v>1.82858879189979</v>
      </c>
    </row>
    <row r="41" ht="66" customHeight="1" spans="1:9">
      <c r="A41" s="9" t="s">
        <v>44</v>
      </c>
      <c r="B41" s="10" t="s">
        <v>60</v>
      </c>
      <c r="C41" s="8" t="s">
        <v>64</v>
      </c>
      <c r="D41" s="8" t="s">
        <v>65</v>
      </c>
      <c r="E41" s="11">
        <f>315/8*39</f>
        <v>1535.625</v>
      </c>
      <c r="F41" s="8">
        <f>86.84*7.5</f>
        <v>651.3</v>
      </c>
      <c r="G41" s="11">
        <f t="shared" si="6"/>
        <v>2186.925</v>
      </c>
      <c r="H41" s="8">
        <v>1209.83</v>
      </c>
      <c r="I41" s="11">
        <f t="shared" si="1"/>
        <v>1.80762999760297</v>
      </c>
    </row>
    <row r="42" ht="66" customHeight="1" spans="1:9">
      <c r="A42" s="9" t="s">
        <v>48</v>
      </c>
      <c r="B42" s="10" t="s">
        <v>60</v>
      </c>
      <c r="C42" s="8" t="s">
        <v>66</v>
      </c>
      <c r="D42" s="8" t="s">
        <v>67</v>
      </c>
      <c r="E42" s="8">
        <f>315/8*42</f>
        <v>1653.75</v>
      </c>
      <c r="F42" s="8">
        <f>86.84*8</f>
        <v>694.72</v>
      </c>
      <c r="G42" s="11">
        <f t="shared" si="6"/>
        <v>2348.47</v>
      </c>
      <c r="H42" s="8">
        <v>1575.71</v>
      </c>
      <c r="I42" s="11">
        <f t="shared" si="1"/>
        <v>1.49042019153271</v>
      </c>
    </row>
    <row r="43" ht="149" customHeight="1" spans="1:9">
      <c r="A43" s="6" t="s">
        <v>68</v>
      </c>
      <c r="B43" s="20"/>
      <c r="C43" s="20"/>
      <c r="D43" s="20"/>
      <c r="E43" s="20"/>
      <c r="F43" s="20"/>
      <c r="G43" s="20"/>
      <c r="H43" s="20"/>
      <c r="I43" s="20"/>
    </row>
    <row r="44" spans="1:1">
      <c r="A44" s="12"/>
    </row>
    <row r="45" spans="1:1">
      <c r="A45" s="12"/>
    </row>
    <row r="47" spans="4:4">
      <c r="D47" s="3"/>
    </row>
    <row r="48" spans="4:4">
      <c r="D48" s="3"/>
    </row>
    <row r="49" spans="4:4">
      <c r="D49" s="21"/>
    </row>
  </sheetData>
  <mergeCells count="18">
    <mergeCell ref="A1:I1"/>
    <mergeCell ref="A2:I2"/>
    <mergeCell ref="A3:I3"/>
    <mergeCell ref="A4:I4"/>
    <mergeCell ref="E5:G5"/>
    <mergeCell ref="E6:F6"/>
    <mergeCell ref="A43:I43"/>
    <mergeCell ref="A5:A7"/>
    <mergeCell ref="B5:B7"/>
    <mergeCell ref="C5:C7"/>
    <mergeCell ref="D5:D7"/>
    <mergeCell ref="D47:D48"/>
    <mergeCell ref="G6:G7"/>
    <mergeCell ref="H6:H7"/>
    <mergeCell ref="I5:I7"/>
    <mergeCell ref="J5:J7"/>
    <mergeCell ref="K5:K7"/>
    <mergeCell ref="L5:L7"/>
  </mergeCells>
  <pageMargins left="0.7" right="0.7" top="0.75" bottom="0.75" header="0.3" footer="0.3"/>
  <pageSetup paperSize="9" scale="47" orientation="portrait" horizontalDpi="200" verticalDpi="300"/>
  <headerFooter/>
  <rowBreaks count="1" manualBreakCount="1"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49"/>
  <sheetViews>
    <sheetView tabSelected="1" view="pageBreakPreview" zoomScaleNormal="100" workbookViewId="0">
      <selection activeCell="C5" sqref="C5:C7"/>
    </sheetView>
  </sheetViews>
  <sheetFormatPr defaultColWidth="9" defaultRowHeight="13.5"/>
  <cols>
    <col min="1" max="1" width="13.375" customWidth="1"/>
    <col min="2" max="2" width="23" customWidth="1"/>
    <col min="3" max="3" width="23.875" customWidth="1"/>
    <col min="4" max="4" width="24.375" customWidth="1"/>
    <col min="5" max="5" width="9.75" customWidth="1"/>
    <col min="6" max="6" width="14.25" customWidth="1"/>
    <col min="7" max="7" width="13.5" customWidth="1"/>
    <col min="8" max="8" width="14.625" customWidth="1"/>
    <col min="9" max="9" width="17.375" customWidth="1"/>
    <col min="10" max="10" width="14" style="3" customWidth="1"/>
  </cols>
  <sheetData>
    <row r="1" ht="30" customHeight="1" spans="1:1">
      <c r="A1" s="4" t="s">
        <v>69</v>
      </c>
    </row>
    <row r="2" s="1" customFormat="1" ht="51" customHeight="1" spans="1:10">
      <c r="A2" s="5" t="s">
        <v>70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72" customHeight="1" spans="1:10">
      <c r="A3" s="6" t="s">
        <v>71</v>
      </c>
      <c r="B3" s="6"/>
      <c r="C3" s="6"/>
      <c r="D3" s="6"/>
      <c r="E3" s="6"/>
      <c r="F3" s="6"/>
      <c r="G3" s="6"/>
      <c r="H3" s="6"/>
      <c r="I3" s="6"/>
      <c r="J3" s="7"/>
    </row>
    <row r="4" s="1" customFormat="1" ht="64" customHeight="1" spans="1:14">
      <c r="A4" s="6" t="s">
        <v>72</v>
      </c>
      <c r="B4" s="6"/>
      <c r="C4" s="6"/>
      <c r="D4" s="6"/>
      <c r="E4" s="6"/>
      <c r="F4" s="6"/>
      <c r="G4" s="6"/>
      <c r="H4" s="6"/>
      <c r="I4" s="6"/>
      <c r="J4" s="7"/>
      <c r="K4" s="14"/>
      <c r="L4" s="14"/>
      <c r="M4" s="14"/>
      <c r="N4" s="15"/>
    </row>
    <row r="5" customFormat="1" ht="72" customHeight="1" spans="1:14">
      <c r="A5" s="7" t="s">
        <v>4</v>
      </c>
      <c r="B5" s="7" t="s">
        <v>5</v>
      </c>
      <c r="C5" s="7" t="s">
        <v>6</v>
      </c>
      <c r="D5" s="7" t="s">
        <v>73</v>
      </c>
      <c r="E5" s="8" t="s">
        <v>8</v>
      </c>
      <c r="F5" s="8"/>
      <c r="G5" s="8"/>
      <c r="H5" s="8"/>
      <c r="I5" s="7" t="s">
        <v>74</v>
      </c>
      <c r="J5" s="7" t="s">
        <v>10</v>
      </c>
      <c r="L5" s="15"/>
      <c r="M5" s="16"/>
      <c r="N5" s="16"/>
    </row>
    <row r="6" customFormat="1" ht="54" customHeight="1" spans="1:14">
      <c r="A6" s="7"/>
      <c r="B6" s="7"/>
      <c r="C6" s="7"/>
      <c r="D6" s="7"/>
      <c r="E6" s="8" t="s">
        <v>11</v>
      </c>
      <c r="F6" s="8"/>
      <c r="G6" s="8"/>
      <c r="H6" s="8" t="s">
        <v>12</v>
      </c>
      <c r="I6" s="7" t="s">
        <v>12</v>
      </c>
      <c r="J6" s="7"/>
      <c r="L6" s="15"/>
      <c r="M6" s="16"/>
      <c r="N6" s="16"/>
    </row>
    <row r="7" s="2" customFormat="1" ht="54" customHeight="1" spans="1:14">
      <c r="A7" s="7"/>
      <c r="B7" s="7"/>
      <c r="C7" s="7"/>
      <c r="D7" s="7"/>
      <c r="E7" s="8" t="s">
        <v>75</v>
      </c>
      <c r="F7" s="7" t="s">
        <v>13</v>
      </c>
      <c r="G7" s="8" t="s">
        <v>14</v>
      </c>
      <c r="H7" s="8"/>
      <c r="I7" s="7"/>
      <c r="J7" s="7"/>
      <c r="L7" s="15"/>
      <c r="M7" s="16"/>
      <c r="N7" s="16"/>
    </row>
    <row r="8" ht="60" customHeight="1" spans="1:10">
      <c r="A8" s="9" t="s">
        <v>15</v>
      </c>
      <c r="B8" s="10" t="s">
        <v>16</v>
      </c>
      <c r="C8" s="8" t="s">
        <v>76</v>
      </c>
      <c r="D8" s="8" t="s">
        <v>77</v>
      </c>
      <c r="E8" s="8">
        <v>55</v>
      </c>
      <c r="F8" s="8">
        <f>315/8*2</f>
        <v>78.75</v>
      </c>
      <c r="G8" s="8">
        <f>86.84*2</f>
        <v>173.68</v>
      </c>
      <c r="H8" s="11">
        <f t="shared" ref="H8:H25" si="0">E8+F8+G8</f>
        <v>307.43</v>
      </c>
      <c r="I8" s="8">
        <v>207.33</v>
      </c>
      <c r="J8" s="11">
        <f>H8/I8</f>
        <v>1.48280518979405</v>
      </c>
    </row>
    <row r="9" ht="60" customHeight="1" spans="1:10">
      <c r="A9" s="9" t="s">
        <v>19</v>
      </c>
      <c r="B9" s="10" t="s">
        <v>20</v>
      </c>
      <c r="C9" s="8" t="s">
        <v>17</v>
      </c>
      <c r="D9" s="8" t="s">
        <v>77</v>
      </c>
      <c r="E9" s="8">
        <v>60</v>
      </c>
      <c r="F9" s="8">
        <f>315/8*2</f>
        <v>78.75</v>
      </c>
      <c r="G9" s="8">
        <f>86.84*2</f>
        <v>173.68</v>
      </c>
      <c r="H9" s="11">
        <f t="shared" si="0"/>
        <v>312.43</v>
      </c>
      <c r="I9" s="8">
        <v>212.15</v>
      </c>
      <c r="J9" s="11">
        <f t="shared" ref="J9:J42" si="1">H9/I9</f>
        <v>1.47268442139995</v>
      </c>
    </row>
    <row r="10" ht="60" customHeight="1" spans="1:10">
      <c r="A10" s="9" t="s">
        <v>21</v>
      </c>
      <c r="B10" s="10" t="s">
        <v>22</v>
      </c>
      <c r="C10" s="8" t="s">
        <v>78</v>
      </c>
      <c r="D10" s="8" t="s">
        <v>79</v>
      </c>
      <c r="E10" s="8">
        <v>85</v>
      </c>
      <c r="F10" s="11">
        <f>315/8*3</f>
        <v>118.125</v>
      </c>
      <c r="G10" s="8">
        <f>86.84*2.5</f>
        <v>217.1</v>
      </c>
      <c r="H10" s="11">
        <f t="shared" si="0"/>
        <v>420.225</v>
      </c>
      <c r="I10" s="8">
        <v>283.59</v>
      </c>
      <c r="J10" s="11">
        <f t="shared" si="1"/>
        <v>1.48180471807892</v>
      </c>
    </row>
    <row r="11" ht="60" customHeight="1" spans="1:10">
      <c r="A11" s="9" t="s">
        <v>25</v>
      </c>
      <c r="B11" s="10" t="s">
        <v>26</v>
      </c>
      <c r="C11" s="8" t="s">
        <v>78</v>
      </c>
      <c r="D11" s="8" t="s">
        <v>79</v>
      </c>
      <c r="E11" s="8">
        <v>190</v>
      </c>
      <c r="F11" s="11">
        <f>315/8*3</f>
        <v>118.125</v>
      </c>
      <c r="G11" s="8">
        <f>86.84*2.5</f>
        <v>217.1</v>
      </c>
      <c r="H11" s="11">
        <f t="shared" si="0"/>
        <v>525.225</v>
      </c>
      <c r="I11" s="8">
        <v>482.71</v>
      </c>
      <c r="J11" s="11">
        <f t="shared" si="1"/>
        <v>1.08807565619109</v>
      </c>
    </row>
    <row r="12" ht="60" customHeight="1" spans="1:10">
      <c r="A12" s="9" t="s">
        <v>27</v>
      </c>
      <c r="B12" s="10" t="s">
        <v>28</v>
      </c>
      <c r="C12" s="8" t="s">
        <v>17</v>
      </c>
      <c r="D12" s="8" t="s">
        <v>18</v>
      </c>
      <c r="E12" s="8">
        <v>280</v>
      </c>
      <c r="F12" s="8">
        <f>315/8*4</f>
        <v>157.5</v>
      </c>
      <c r="G12" s="8">
        <f>86.84*3</f>
        <v>260.52</v>
      </c>
      <c r="H12" s="11">
        <f t="shared" si="0"/>
        <v>698.02</v>
      </c>
      <c r="I12" s="8">
        <v>569.51</v>
      </c>
      <c r="J12" s="11">
        <f t="shared" si="1"/>
        <v>1.22565012027884</v>
      </c>
    </row>
    <row r="13" ht="60" customHeight="1" spans="1:10">
      <c r="A13" s="9" t="s">
        <v>31</v>
      </c>
      <c r="B13" s="10" t="s">
        <v>32</v>
      </c>
      <c r="C13" s="8" t="s">
        <v>80</v>
      </c>
      <c r="D13" s="8" t="s">
        <v>24</v>
      </c>
      <c r="E13" s="8">
        <v>930</v>
      </c>
      <c r="F13" s="8">
        <f>315/8*10</f>
        <v>393.75</v>
      </c>
      <c r="G13" s="8">
        <f>86.84*3.5</f>
        <v>303.94</v>
      </c>
      <c r="H13" s="11">
        <f t="shared" si="0"/>
        <v>1627.69</v>
      </c>
      <c r="I13" s="8">
        <v>1302.98</v>
      </c>
      <c r="J13" s="11">
        <f t="shared" si="1"/>
        <v>1.24920566700947</v>
      </c>
    </row>
    <row r="14" ht="60" customHeight="1" spans="1:10">
      <c r="A14" s="9" t="s">
        <v>35</v>
      </c>
      <c r="B14" s="10" t="s">
        <v>32</v>
      </c>
      <c r="C14" s="8" t="s">
        <v>81</v>
      </c>
      <c r="D14" s="8" t="s">
        <v>30</v>
      </c>
      <c r="E14" s="8">
        <v>1060</v>
      </c>
      <c r="F14" s="8">
        <f>315/8*12</f>
        <v>472.5</v>
      </c>
      <c r="G14" s="8">
        <f>86.84*4</f>
        <v>347.36</v>
      </c>
      <c r="H14" s="11">
        <f t="shared" si="0"/>
        <v>1879.86</v>
      </c>
      <c r="I14" s="8">
        <v>1552.28</v>
      </c>
      <c r="J14" s="11">
        <f t="shared" si="1"/>
        <v>1.21103151493287</v>
      </c>
    </row>
    <row r="15" ht="60" customHeight="1" spans="1:10">
      <c r="A15" s="9" t="s">
        <v>38</v>
      </c>
      <c r="B15" s="10" t="s">
        <v>32</v>
      </c>
      <c r="C15" s="8" t="s">
        <v>82</v>
      </c>
      <c r="D15" s="8" t="s">
        <v>34</v>
      </c>
      <c r="E15" s="8">
        <v>1950</v>
      </c>
      <c r="F15" s="11">
        <f>315/8*17.5</f>
        <v>689.0625</v>
      </c>
      <c r="G15" s="8">
        <f>86.84*4.5</f>
        <v>390.78</v>
      </c>
      <c r="H15" s="11">
        <f t="shared" si="0"/>
        <v>3029.8425</v>
      </c>
      <c r="I15" s="8">
        <v>2626.61</v>
      </c>
      <c r="J15" s="11">
        <f t="shared" si="1"/>
        <v>1.15351822310887</v>
      </c>
    </row>
    <row r="16" ht="60" customHeight="1" spans="1:10">
      <c r="A16" s="9" t="s">
        <v>41</v>
      </c>
      <c r="B16" s="10" t="s">
        <v>32</v>
      </c>
      <c r="C16" s="8" t="s">
        <v>83</v>
      </c>
      <c r="D16" s="8" t="s">
        <v>37</v>
      </c>
      <c r="E16" s="8">
        <v>3750</v>
      </c>
      <c r="F16" s="8">
        <f>315/8*24</f>
        <v>945</v>
      </c>
      <c r="G16" s="8">
        <f>86.84*5</f>
        <v>434.2</v>
      </c>
      <c r="H16" s="11">
        <f t="shared" si="0"/>
        <v>5129.2</v>
      </c>
      <c r="I16" s="8">
        <v>4613.24</v>
      </c>
      <c r="J16" s="11">
        <f t="shared" si="1"/>
        <v>1.11184330318821</v>
      </c>
    </row>
    <row r="17" ht="60" customHeight="1" spans="1:10">
      <c r="A17" s="9" t="s">
        <v>44</v>
      </c>
      <c r="B17" s="10" t="s">
        <v>45</v>
      </c>
      <c r="C17" s="8" t="s">
        <v>84</v>
      </c>
      <c r="D17" s="8" t="s">
        <v>40</v>
      </c>
      <c r="E17" s="8">
        <v>2780</v>
      </c>
      <c r="F17" s="11">
        <f>315/8*27</f>
        <v>1063.125</v>
      </c>
      <c r="G17" s="8">
        <f>86.84*5.5</f>
        <v>477.62</v>
      </c>
      <c r="H17" s="11">
        <f t="shared" si="0"/>
        <v>4320.745</v>
      </c>
      <c r="I17" s="8">
        <v>3891.43</v>
      </c>
      <c r="J17" s="11">
        <f t="shared" si="1"/>
        <v>1.11032319738502</v>
      </c>
    </row>
    <row r="18" ht="60" customHeight="1" spans="1:10">
      <c r="A18" s="9" t="s">
        <v>48</v>
      </c>
      <c r="B18" s="10" t="s">
        <v>45</v>
      </c>
      <c r="C18" s="8" t="s">
        <v>42</v>
      </c>
      <c r="D18" s="8" t="s">
        <v>43</v>
      </c>
      <c r="E18" s="8">
        <v>5200</v>
      </c>
      <c r="F18" s="8">
        <f>315/8*30</f>
        <v>1181.25</v>
      </c>
      <c r="G18" s="8">
        <f>86.84*6</f>
        <v>521.04</v>
      </c>
      <c r="H18" s="11">
        <f t="shared" si="0"/>
        <v>6902.29</v>
      </c>
      <c r="I18" s="8">
        <v>6595.74</v>
      </c>
      <c r="J18" s="11">
        <f t="shared" si="1"/>
        <v>1.04647696846753</v>
      </c>
    </row>
    <row r="19" ht="60" customHeight="1" spans="1:10">
      <c r="A19" s="9" t="s">
        <v>19</v>
      </c>
      <c r="B19" s="10" t="s">
        <v>51</v>
      </c>
      <c r="C19" s="8" t="s">
        <v>17</v>
      </c>
      <c r="D19" s="8" t="s">
        <v>18</v>
      </c>
      <c r="E19" s="8">
        <f>60+480</f>
        <v>540</v>
      </c>
      <c r="F19" s="8">
        <f t="shared" ref="F19:F24" si="2">315/8*4</f>
        <v>157.5</v>
      </c>
      <c r="G19" s="8">
        <f t="shared" ref="G19:G24" si="3">86.84*3</f>
        <v>260.52</v>
      </c>
      <c r="H19" s="11">
        <f t="shared" si="0"/>
        <v>958.02</v>
      </c>
      <c r="I19" s="8">
        <v>675.16</v>
      </c>
      <c r="J19" s="11">
        <f t="shared" si="1"/>
        <v>1.41895254458203</v>
      </c>
    </row>
    <row r="20" ht="60" customHeight="1" spans="1:10">
      <c r="A20" s="9" t="s">
        <v>19</v>
      </c>
      <c r="B20" s="10" t="s">
        <v>52</v>
      </c>
      <c r="C20" s="8" t="s">
        <v>17</v>
      </c>
      <c r="D20" s="8" t="s">
        <v>18</v>
      </c>
      <c r="E20" s="8">
        <v>540</v>
      </c>
      <c r="F20" s="8">
        <f t="shared" si="2"/>
        <v>157.5</v>
      </c>
      <c r="G20" s="8">
        <f t="shared" si="3"/>
        <v>260.52</v>
      </c>
      <c r="H20" s="11">
        <f t="shared" si="0"/>
        <v>958.02</v>
      </c>
      <c r="I20" s="8">
        <v>675.16</v>
      </c>
      <c r="J20" s="11">
        <f t="shared" si="1"/>
        <v>1.41895254458203</v>
      </c>
    </row>
    <row r="21" ht="60" customHeight="1" spans="1:10">
      <c r="A21" s="9" t="s">
        <v>19</v>
      </c>
      <c r="B21" s="10" t="s">
        <v>53</v>
      </c>
      <c r="C21" s="8" t="s">
        <v>17</v>
      </c>
      <c r="D21" s="8" t="s">
        <v>18</v>
      </c>
      <c r="E21" s="8">
        <v>335</v>
      </c>
      <c r="F21" s="8">
        <f t="shared" si="2"/>
        <v>157.5</v>
      </c>
      <c r="G21" s="8">
        <f t="shared" si="3"/>
        <v>260.52</v>
      </c>
      <c r="H21" s="11">
        <f t="shared" si="0"/>
        <v>753.02</v>
      </c>
      <c r="I21" s="8">
        <v>477.42</v>
      </c>
      <c r="J21" s="11">
        <f t="shared" si="1"/>
        <v>1.57726949017636</v>
      </c>
    </row>
    <row r="22" ht="60" customHeight="1" spans="1:10">
      <c r="A22" s="9" t="s">
        <v>19</v>
      </c>
      <c r="B22" s="10" t="s">
        <v>54</v>
      </c>
      <c r="C22" s="8" t="s">
        <v>17</v>
      </c>
      <c r="D22" s="8" t="s">
        <v>18</v>
      </c>
      <c r="E22" s="8">
        <v>340</v>
      </c>
      <c r="F22" s="8">
        <f t="shared" si="2"/>
        <v>157.5</v>
      </c>
      <c r="G22" s="8">
        <f t="shared" si="3"/>
        <v>260.52</v>
      </c>
      <c r="H22" s="11">
        <f t="shared" si="0"/>
        <v>758.02</v>
      </c>
      <c r="I22" s="11">
        <v>482.24</v>
      </c>
      <c r="J22" s="11">
        <f t="shared" si="1"/>
        <v>1.57187292634373</v>
      </c>
    </row>
    <row r="23" ht="60" customHeight="1" spans="1:10">
      <c r="A23" s="9" t="s">
        <v>19</v>
      </c>
      <c r="B23" s="10" t="s">
        <v>55</v>
      </c>
      <c r="C23" s="8" t="s">
        <v>17</v>
      </c>
      <c r="D23" s="8" t="s">
        <v>18</v>
      </c>
      <c r="E23" s="8">
        <v>282.5</v>
      </c>
      <c r="F23" s="8">
        <f t="shared" si="2"/>
        <v>157.5</v>
      </c>
      <c r="G23" s="8">
        <f t="shared" si="3"/>
        <v>260.52</v>
      </c>
      <c r="H23" s="11">
        <f t="shared" si="0"/>
        <v>700.52</v>
      </c>
      <c r="I23" s="11">
        <v>426.77</v>
      </c>
      <c r="J23" s="11">
        <f t="shared" si="1"/>
        <v>1.64144621224547</v>
      </c>
    </row>
    <row r="24" ht="60" customHeight="1" spans="1:10">
      <c r="A24" s="9" t="s">
        <v>19</v>
      </c>
      <c r="B24" s="10" t="s">
        <v>56</v>
      </c>
      <c r="C24" s="8" t="s">
        <v>17</v>
      </c>
      <c r="D24" s="8" t="s">
        <v>18</v>
      </c>
      <c r="E24" s="8">
        <f>60+480</f>
        <v>540</v>
      </c>
      <c r="F24" s="8">
        <f t="shared" si="2"/>
        <v>157.5</v>
      </c>
      <c r="G24" s="8">
        <f t="shared" si="3"/>
        <v>260.52</v>
      </c>
      <c r="H24" s="11">
        <f t="shared" si="0"/>
        <v>958.02</v>
      </c>
      <c r="I24" s="8">
        <v>675.16</v>
      </c>
      <c r="J24" s="11">
        <f t="shared" si="1"/>
        <v>1.41895254458203</v>
      </c>
    </row>
    <row r="25" ht="60" customHeight="1" spans="1:10">
      <c r="A25" s="9" t="s">
        <v>21</v>
      </c>
      <c r="B25" s="10" t="s">
        <v>51</v>
      </c>
      <c r="C25" s="8" t="s">
        <v>23</v>
      </c>
      <c r="D25" s="8" t="s">
        <v>24</v>
      </c>
      <c r="E25" s="8">
        <f>85+480</f>
        <v>565</v>
      </c>
      <c r="F25" s="11">
        <f t="shared" ref="F25:F29" si="4">315/8*5</f>
        <v>196.875</v>
      </c>
      <c r="G25" s="8">
        <f>86.84*3.5</f>
        <v>303.94</v>
      </c>
      <c r="H25" s="11">
        <f t="shared" si="0"/>
        <v>1065.815</v>
      </c>
      <c r="I25" s="8">
        <v>746.58</v>
      </c>
      <c r="J25" s="11">
        <f t="shared" si="1"/>
        <v>1.42759650673739</v>
      </c>
    </row>
    <row r="26" ht="60" customHeight="1" spans="1:10">
      <c r="A26" s="9" t="s">
        <v>21</v>
      </c>
      <c r="B26" s="10" t="s">
        <v>53</v>
      </c>
      <c r="C26" s="8" t="s">
        <v>23</v>
      </c>
      <c r="D26" s="8" t="s">
        <v>24</v>
      </c>
      <c r="E26" s="8" t="s">
        <v>58</v>
      </c>
      <c r="F26" s="8" t="s">
        <v>58</v>
      </c>
      <c r="G26" s="8" t="s">
        <v>58</v>
      </c>
      <c r="H26" s="11" t="s">
        <v>58</v>
      </c>
      <c r="I26" s="8" t="s">
        <v>58</v>
      </c>
      <c r="J26" s="11" t="s">
        <v>58</v>
      </c>
    </row>
    <row r="27" ht="60" customHeight="1" spans="1:10">
      <c r="A27" s="9" t="s">
        <v>21</v>
      </c>
      <c r="B27" s="10" t="s">
        <v>54</v>
      </c>
      <c r="C27" s="8" t="s">
        <v>23</v>
      </c>
      <c r="D27" s="8" t="s">
        <v>24</v>
      </c>
      <c r="E27" s="8">
        <v>490</v>
      </c>
      <c r="F27" s="11">
        <f t="shared" si="4"/>
        <v>196.875</v>
      </c>
      <c r="G27" s="8">
        <f>86.84*3.5</f>
        <v>303.94</v>
      </c>
      <c r="H27" s="11">
        <f t="shared" ref="H27:H29" si="5">E27+F27+G27</f>
        <v>990.815</v>
      </c>
      <c r="I27" s="8">
        <v>674.24</v>
      </c>
      <c r="J27" s="11">
        <f t="shared" si="1"/>
        <v>1.46952865448505</v>
      </c>
    </row>
    <row r="28" ht="60" customHeight="1" spans="1:10">
      <c r="A28" s="9" t="s">
        <v>21</v>
      </c>
      <c r="B28" s="10" t="s">
        <v>55</v>
      </c>
      <c r="C28" s="8" t="s">
        <v>23</v>
      </c>
      <c r="D28" s="8" t="s">
        <v>24</v>
      </c>
      <c r="E28" s="8">
        <v>301</v>
      </c>
      <c r="F28" s="11">
        <f t="shared" si="4"/>
        <v>196.875</v>
      </c>
      <c r="G28" s="8">
        <f>86.84*3.5</f>
        <v>303.94</v>
      </c>
      <c r="H28" s="11">
        <f t="shared" si="5"/>
        <v>801.815</v>
      </c>
      <c r="I28" s="8">
        <v>491.94</v>
      </c>
      <c r="J28" s="11">
        <f t="shared" si="1"/>
        <v>1.62990405333984</v>
      </c>
    </row>
    <row r="29" ht="60" customHeight="1" spans="1:10">
      <c r="A29" s="9" t="s">
        <v>25</v>
      </c>
      <c r="B29" s="10" t="s">
        <v>51</v>
      </c>
      <c r="C29" s="8" t="s">
        <v>23</v>
      </c>
      <c r="D29" s="8" t="s">
        <v>24</v>
      </c>
      <c r="E29" s="8">
        <f>190+480</f>
        <v>670</v>
      </c>
      <c r="F29" s="11">
        <f t="shared" si="4"/>
        <v>196.875</v>
      </c>
      <c r="G29" s="8">
        <f>86.84*3.5</f>
        <v>303.94</v>
      </c>
      <c r="H29" s="11">
        <f t="shared" si="5"/>
        <v>1170.815</v>
      </c>
      <c r="I29" s="8">
        <v>945.72</v>
      </c>
      <c r="J29" s="11">
        <f t="shared" si="1"/>
        <v>1.23801442287358</v>
      </c>
    </row>
    <row r="30" ht="60" customHeight="1" spans="1:10">
      <c r="A30" s="9" t="s">
        <v>25</v>
      </c>
      <c r="B30" s="10" t="s">
        <v>53</v>
      </c>
      <c r="C30" s="8" t="s">
        <v>23</v>
      </c>
      <c r="D30" s="8" t="s">
        <v>24</v>
      </c>
      <c r="E30" s="8" t="s">
        <v>58</v>
      </c>
      <c r="F30" s="8" t="s">
        <v>58</v>
      </c>
      <c r="G30" s="8" t="s">
        <v>58</v>
      </c>
      <c r="H30" s="11" t="s">
        <v>58</v>
      </c>
      <c r="I30" s="8" t="s">
        <v>58</v>
      </c>
      <c r="J30" s="11" t="s">
        <v>58</v>
      </c>
    </row>
    <row r="31" ht="60" customHeight="1" spans="1:10">
      <c r="A31" s="9" t="s">
        <v>25</v>
      </c>
      <c r="B31" s="10" t="s">
        <v>54</v>
      </c>
      <c r="C31" s="8" t="s">
        <v>23</v>
      </c>
      <c r="D31" s="8" t="s">
        <v>24</v>
      </c>
      <c r="E31" s="8">
        <v>1100</v>
      </c>
      <c r="F31" s="11">
        <f>315/8*5</f>
        <v>196.875</v>
      </c>
      <c r="G31" s="8">
        <f>86.84*3.5</f>
        <v>303.94</v>
      </c>
      <c r="H31" s="11">
        <f t="shared" ref="H31:H33" si="6">E31+F31+G31</f>
        <v>1600.815</v>
      </c>
      <c r="I31" s="8">
        <v>1360.49</v>
      </c>
      <c r="J31" s="11">
        <f t="shared" si="1"/>
        <v>1.17664591433969</v>
      </c>
    </row>
    <row r="32" ht="60" customHeight="1" spans="1:10">
      <c r="A32" s="9" t="s">
        <v>25</v>
      </c>
      <c r="B32" s="10" t="s">
        <v>55</v>
      </c>
      <c r="C32" s="8" t="s">
        <v>23</v>
      </c>
      <c r="D32" s="8" t="s">
        <v>24</v>
      </c>
      <c r="E32" s="8">
        <v>975</v>
      </c>
      <c r="F32" s="11">
        <f>315/8*5</f>
        <v>196.875</v>
      </c>
      <c r="G32" s="8">
        <f>86.84*3.5</f>
        <v>303.94</v>
      </c>
      <c r="H32" s="11">
        <f t="shared" si="6"/>
        <v>1475.815</v>
      </c>
      <c r="I32" s="8">
        <v>1239.92</v>
      </c>
      <c r="J32" s="11">
        <f t="shared" si="1"/>
        <v>1.1902501774308</v>
      </c>
    </row>
    <row r="33" ht="60" customHeight="1" spans="1:10">
      <c r="A33" s="9" t="s">
        <v>27</v>
      </c>
      <c r="B33" s="10" t="s">
        <v>51</v>
      </c>
      <c r="C33" s="8" t="s">
        <v>29</v>
      </c>
      <c r="D33" s="8" t="s">
        <v>30</v>
      </c>
      <c r="E33" s="8">
        <f>280+480</f>
        <v>760</v>
      </c>
      <c r="F33" s="8">
        <f>315/8*6</f>
        <v>236.25</v>
      </c>
      <c r="G33" s="8">
        <f>86.84*4</f>
        <v>347.36</v>
      </c>
      <c r="H33" s="11">
        <f t="shared" si="6"/>
        <v>1343.61</v>
      </c>
      <c r="I33" s="8">
        <v>1032.52</v>
      </c>
      <c r="J33" s="11">
        <f t="shared" si="1"/>
        <v>1.30129198465889</v>
      </c>
    </row>
    <row r="34" ht="60" customHeight="1" spans="1:10">
      <c r="A34" s="9" t="s">
        <v>27</v>
      </c>
      <c r="B34" s="10" t="s">
        <v>53</v>
      </c>
      <c r="C34" s="8" t="s">
        <v>29</v>
      </c>
      <c r="D34" s="8" t="s">
        <v>30</v>
      </c>
      <c r="E34" s="8" t="s">
        <v>58</v>
      </c>
      <c r="F34" s="8" t="s">
        <v>58</v>
      </c>
      <c r="G34" s="8" t="s">
        <v>58</v>
      </c>
      <c r="H34" s="11" t="s">
        <v>58</v>
      </c>
      <c r="I34" s="8" t="s">
        <v>58</v>
      </c>
      <c r="J34" s="11" t="s">
        <v>58</v>
      </c>
    </row>
    <row r="35" ht="60" customHeight="1" spans="1:10">
      <c r="A35" s="9" t="s">
        <v>27</v>
      </c>
      <c r="B35" s="10" t="s">
        <v>54</v>
      </c>
      <c r="C35" s="8" t="s">
        <v>29</v>
      </c>
      <c r="D35" s="8" t="s">
        <v>30</v>
      </c>
      <c r="E35" s="8">
        <v>1910</v>
      </c>
      <c r="F35" s="8">
        <f>315/8*6</f>
        <v>236.25</v>
      </c>
      <c r="G35" s="8">
        <f>86.84*4</f>
        <v>347.36</v>
      </c>
      <c r="H35" s="11">
        <f t="shared" ref="H35:H42" si="7">E35+F35+G35</f>
        <v>2493.61</v>
      </c>
      <c r="I35" s="8">
        <v>2141.82</v>
      </c>
      <c r="J35" s="11">
        <f t="shared" si="1"/>
        <v>1.16424816277745</v>
      </c>
    </row>
    <row r="36" ht="60" customHeight="1" spans="1:10">
      <c r="A36" s="9" t="s">
        <v>27</v>
      </c>
      <c r="B36" s="10" t="s">
        <v>55</v>
      </c>
      <c r="C36" s="8" t="s">
        <v>29</v>
      </c>
      <c r="D36" s="8" t="s">
        <v>30</v>
      </c>
      <c r="E36" s="8">
        <v>1787</v>
      </c>
      <c r="F36" s="8">
        <f>315/8*6</f>
        <v>236.25</v>
      </c>
      <c r="G36" s="8">
        <f>86.84*4</f>
        <v>347.36</v>
      </c>
      <c r="H36" s="11">
        <f t="shared" si="7"/>
        <v>2370.61</v>
      </c>
      <c r="I36" s="8">
        <v>2023.17</v>
      </c>
      <c r="J36" s="11">
        <f t="shared" si="1"/>
        <v>1.17173050213279</v>
      </c>
    </row>
    <row r="37" ht="60" customHeight="1" spans="1:10">
      <c r="A37" s="9" t="s">
        <v>31</v>
      </c>
      <c r="B37" s="10" t="s">
        <v>60</v>
      </c>
      <c r="C37" s="8" t="s">
        <v>33</v>
      </c>
      <c r="D37" s="8" t="s">
        <v>34</v>
      </c>
      <c r="E37" s="8">
        <v>2290</v>
      </c>
      <c r="F37" s="8">
        <f>315/8*14</f>
        <v>551.25</v>
      </c>
      <c r="G37" s="8">
        <f>86.84*4.5</f>
        <v>390.78</v>
      </c>
      <c r="H37" s="11">
        <f t="shared" si="7"/>
        <v>3232.03</v>
      </c>
      <c r="I37" s="8">
        <v>2614.74</v>
      </c>
      <c r="J37" s="11">
        <f t="shared" si="1"/>
        <v>1.23608083404086</v>
      </c>
    </row>
    <row r="38" ht="60" customHeight="1" spans="1:10">
      <c r="A38" s="9" t="s">
        <v>35</v>
      </c>
      <c r="B38" s="10" t="s">
        <v>60</v>
      </c>
      <c r="C38" s="8" t="s">
        <v>36</v>
      </c>
      <c r="D38" s="8" t="s">
        <v>37</v>
      </c>
      <c r="E38" s="8">
        <v>2480</v>
      </c>
      <c r="F38" s="8">
        <f>315/8*16</f>
        <v>630</v>
      </c>
      <c r="G38" s="8">
        <f>86.84*5</f>
        <v>434.2</v>
      </c>
      <c r="H38" s="11">
        <f t="shared" si="7"/>
        <v>3544.2</v>
      </c>
      <c r="I38" s="8">
        <v>2922.02</v>
      </c>
      <c r="J38" s="11">
        <f t="shared" si="1"/>
        <v>1.21292804292921</v>
      </c>
    </row>
    <row r="39" ht="60" customHeight="1" spans="1:10">
      <c r="A39" s="9" t="s">
        <v>38</v>
      </c>
      <c r="B39" s="10" t="s">
        <v>60</v>
      </c>
      <c r="C39" s="8" t="s">
        <v>39</v>
      </c>
      <c r="D39" s="8" t="s">
        <v>40</v>
      </c>
      <c r="E39" s="8">
        <v>3590</v>
      </c>
      <c r="F39" s="11">
        <f>315/8*22.5</f>
        <v>885.9375</v>
      </c>
      <c r="G39" s="8">
        <f>86.84*5.5</f>
        <v>477.62</v>
      </c>
      <c r="H39" s="11">
        <f t="shared" si="7"/>
        <v>4953.5575</v>
      </c>
      <c r="I39" s="8">
        <v>4208.56</v>
      </c>
      <c r="J39" s="11">
        <f t="shared" si="1"/>
        <v>1.17701957439124</v>
      </c>
    </row>
    <row r="40" ht="60" customHeight="1" spans="1:10">
      <c r="A40" s="9" t="s">
        <v>41</v>
      </c>
      <c r="B40" s="10" t="s">
        <v>60</v>
      </c>
      <c r="C40" s="8" t="s">
        <v>42</v>
      </c>
      <c r="D40" s="8" t="s">
        <v>43</v>
      </c>
      <c r="E40" s="8">
        <v>4750</v>
      </c>
      <c r="F40" s="11">
        <f>315/8*30</f>
        <v>1181.25</v>
      </c>
      <c r="G40" s="8">
        <f>86.84*6</f>
        <v>521.04</v>
      </c>
      <c r="H40" s="11">
        <f t="shared" si="7"/>
        <v>6452.29</v>
      </c>
      <c r="I40" s="11">
        <v>5577.39</v>
      </c>
      <c r="J40" s="11">
        <f t="shared" si="1"/>
        <v>1.15686548726196</v>
      </c>
    </row>
    <row r="41" ht="60" customHeight="1" spans="1:10">
      <c r="A41" s="9" t="s">
        <v>44</v>
      </c>
      <c r="B41" s="10" t="s">
        <v>60</v>
      </c>
      <c r="C41" s="8" t="s">
        <v>46</v>
      </c>
      <c r="D41" s="8" t="s">
        <v>47</v>
      </c>
      <c r="E41" s="8">
        <v>5800</v>
      </c>
      <c r="F41" s="11">
        <f>315/8*39</f>
        <v>1535.625</v>
      </c>
      <c r="G41" s="8">
        <f>86.84*6.5</f>
        <v>564.46</v>
      </c>
      <c r="H41" s="11">
        <f t="shared" si="7"/>
        <v>7900.085</v>
      </c>
      <c r="I41" s="8">
        <v>6804.53</v>
      </c>
      <c r="J41" s="11">
        <f t="shared" si="1"/>
        <v>1.16100377248686</v>
      </c>
    </row>
    <row r="42" ht="60" customHeight="1" spans="1:10">
      <c r="A42" s="9" t="s">
        <v>48</v>
      </c>
      <c r="B42" s="10" t="s">
        <v>60</v>
      </c>
      <c r="C42" s="8" t="s">
        <v>49</v>
      </c>
      <c r="D42" s="8" t="s">
        <v>50</v>
      </c>
      <c r="E42" s="8">
        <v>9900</v>
      </c>
      <c r="F42" s="8">
        <f>315/8*36</f>
        <v>1417.5</v>
      </c>
      <c r="G42" s="8">
        <f>86.84*7</f>
        <v>607.88</v>
      </c>
      <c r="H42" s="11">
        <f t="shared" si="7"/>
        <v>11925.38</v>
      </c>
      <c r="I42" s="8">
        <v>11125.28</v>
      </c>
      <c r="J42" s="11">
        <f t="shared" si="1"/>
        <v>1.07191729107043</v>
      </c>
    </row>
    <row r="43" ht="160" customHeight="1" spans="1:10">
      <c r="A43" s="6" t="s">
        <v>85</v>
      </c>
      <c r="B43" s="6"/>
      <c r="C43" s="6"/>
      <c r="D43" s="6"/>
      <c r="E43" s="6"/>
      <c r="F43" s="6"/>
      <c r="G43" s="6"/>
      <c r="H43" s="6"/>
      <c r="I43" s="6"/>
      <c r="J43" s="7"/>
    </row>
    <row r="44" spans="1:1">
      <c r="A44" s="12"/>
    </row>
    <row r="45" spans="1:1">
      <c r="A45" s="12"/>
    </row>
    <row r="46" spans="4:4">
      <c r="D46" s="13"/>
    </row>
    <row r="47" spans="4:4">
      <c r="D47" s="3"/>
    </row>
    <row r="48" spans="4:4">
      <c r="D48" s="3"/>
    </row>
    <row r="49" spans="4:4">
      <c r="D49" s="3"/>
    </row>
  </sheetData>
  <mergeCells count="17">
    <mergeCell ref="A2:J2"/>
    <mergeCell ref="A3:J3"/>
    <mergeCell ref="A4:J4"/>
    <mergeCell ref="E5:H5"/>
    <mergeCell ref="E6:G6"/>
    <mergeCell ref="A43:J43"/>
    <mergeCell ref="A5:A7"/>
    <mergeCell ref="B5:B7"/>
    <mergeCell ref="C5:C7"/>
    <mergeCell ref="D5:D7"/>
    <mergeCell ref="D47:D48"/>
    <mergeCell ref="H6:H7"/>
    <mergeCell ref="I6:I7"/>
    <mergeCell ref="J5:J7"/>
    <mergeCell ref="L5:L7"/>
    <mergeCell ref="M5:M7"/>
    <mergeCell ref="N5:N7"/>
  </mergeCells>
  <pageMargins left="0.7" right="0.7" top="0.75" bottom="0.75" header="0.3" footer="0.3"/>
  <pageSetup paperSize="9" scale="53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计量设备检定、校准</vt:lpstr>
      <vt:lpstr>计量设备安装、拆除及维护等服务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2021-10-27T08:14:00Z</cp:lastPrinted>
  <dcterms:modified xsi:type="dcterms:W3CDTF">2021-11-09T09:15:25Z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